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-2" sheetId="7" r:id="rId7"/>
    <sheet name="січень 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<sst xmlns="http://schemas.openxmlformats.org/spreadsheetml/2006/main" count="1235" uniqueCount="291">
  <si>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</si>
  <si>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</si>
  <si>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</si>
  <si>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</si>
  <si>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</si>
  <si>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</si>
  <si>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</si>
  <si>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</si>
  <si>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</si>
  <si>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</si>
  <si>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</si>
  <si>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</si>
  <si>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</si>
  <si>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</si>
  <si>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</si>
  <si>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</si>
  <si>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</si>
  <si>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</si>
  <si>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</si>
  <si>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</si>
  <si>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</si>
  <si>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</si>
  <si>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</si>
  <si>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</si>
  <si>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</si>
  <si>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</si>
  <si>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</si>
  <si>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</si>
  <si>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</si>
  <si>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</si>
  <si>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</si>
  <si>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</si>
  <si>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</si>
  <si>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</si>
  <si>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</si>
  <si>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</si>
  <si>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</si>
  <si>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</si>
  <si>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</si>
  <si>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</si>
  <si>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</si>
  <si>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</si>
  <si>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</si>
  <si>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</si>
  <si>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</si>
  <si>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</si>
  <si>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</si>
  <si>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</si>
  <si>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</si>
  <si>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</si>
  <si>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</si>
  <si>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</si>
  <si>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</si>
  <si>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</si>
  <si>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</si>
  <si>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</si>
  <si>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</si>
  <si>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</si>
  <si>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</si>
  <si>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</si>
  <si>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</si>
  <si>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</si>
  <si>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</si>
  <si>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</si>
  <si>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</si>
  <si>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</si>
  <si>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</si>
  <si>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</si>
  <si>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</si>
  <si>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</si>
  <si>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</si>
  <si>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</si>
  <si>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</si>
  <si>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</si>
  <si>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</si>
  <si>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</si>
  <si>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</si>
  <si>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</si>
  <si>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</si>
  <si>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</si>
  <si>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</si>
  <si>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</si>
  <si>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</si>
  <si>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</si>
  <si>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</si>
  <si>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</si>
  <si>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</si>
  <si>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</si>
  <si>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</si>
  <si>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</si>
  <si>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</si>
  <si>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</si>
  <si>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</si>
  <si>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</si>
  <si>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</si>
  <si>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</si>
  <si>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</si>
  <si>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</si>
  <si>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</si>
  <si>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</si>
  <si>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</si>
  <si>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</si>
  <si>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</si>
  <si>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</si>
  <si>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</si>
  <si>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</si>
  <si>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</si>
  <si>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</si>
  <si>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</si>
  <si>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</si>
  <si>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</si>
  <si>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</si>
  <si>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</si>
  <si>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</si>
  <si>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</si>
  <si>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</si>
  <si>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</si>
  <si>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</si>
  <si>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</si>
  <si>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</si>
  <si>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</si>
  <si>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</si>
  <si>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</si>
  <si>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</si>
  <si>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</si>
  <si>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</si>
  <si>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</si>
  <si>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</si>
  <si>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</si>
  <si>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</si>
  <si>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</si>
  <si>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</si>
  <si>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</si>
  <si>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</si>
  <si>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</si>
  <si>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</si>
  <si>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</si>
  <si>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</si>
  <si>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</si>
  <si>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</si>
  <si>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</si>
  <si>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</si>
  <si>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</si>
  <si>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</si>
  <si>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</si>
  <si>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</si>
  <si>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</si>
  <si>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</si>
  <si>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</si>
  <si>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</si>
  <si>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</si>
  <si>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</si>
  <si>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</si>
  <si>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</si>
  <si>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</si>
  <si>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</si>
  <si>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</si>
  <si>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</si>
  <si>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</si>
  <si>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</si>
  <si>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</si>
  <si>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</si>
  <si>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</si>
  <si>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</si>
  <si>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</si>
  <si>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</si>
  <si>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</si>
  <si>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</si>
  <si>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</si>
  <si>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</si>
  <si>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</si>
  <si>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</si>
  <si>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</si>
  <si>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</si>
  <si>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</si>
  <si>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</si>
  <si>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</si>
  <si>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</si>
  <si>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</si>
  <si>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</si>
  <si>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</si>
  <si>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</si>
  <si>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</si>
  <si>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</si>
  <si>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</si>
  <si>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</si>
  <si>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</si>
  <si>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</si>
  <si>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</si>
  <si>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</si>
  <si>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</si>
  <si>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</si>
  <si>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</si>
  <si>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</si>
  <si>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</si>
  <si>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</si>
  <si>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</si>
  <si>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</si>
  <si>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</si>
  <si>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</si>
  <si>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</si>
  <si>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</si>
  <si>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</si>
  <si>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</si>
  <si>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</si>
  <si>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</si>
  <si>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</si>
  <si>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</si>
  <si>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</si>
  <si>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</si>
  <si>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</si>
  <si>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</si>
  <si>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</si>
  <si>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</si>
  <si>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</si>
  <si>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</si>
  <si>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</si>
  <si>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</si>
  <si>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</si>
  <si>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</si>
  <si>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</si>
  <si>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</si>
  <si>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</si>
  <si>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</si>
  <si>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</si>
  <si>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</si>
  <si>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</si>
  <si>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</si>
  <si>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</si>
  <si>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</si>
  <si>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</si>
  <si>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</si>
  <si>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</si>
  <si>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</si>
  <si>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</si>
  <si>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</si>
  <si>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</si>
  <si>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</si>
  <si>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</si>
  <si>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</si>
  <si>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</si>
  <si>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</si>
  <si>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</si>
  <si>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</si>
  <si>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</si>
  <si>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</si>
  <si>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</si>
  <si>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</si>
  <si>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</si>
  <si>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</si>
  <si>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</si>
  <si>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</si>
  <si>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</si>
  <si>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</si>
  <si>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</si>
  <si>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</si>
  <si>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</si>
  <si>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</si>
  <si>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</si>
  <si>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</si>
  <si>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</si>
  <si>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</si>
  <si>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</si>
  <si>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</si>
  <si>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</si>
  <si>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</si>
  <si>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</si>
  <si>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</si>
  <si>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</si>
  <si>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</si>
  <si>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</si>
  <si>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</si>
  <si>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</si>
  <si>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</si>
  <si>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</si>
  <si>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</si>
  <si>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</si>
  <si>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</si>
  <si>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</si>
  <si>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</si>
  <si>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</si>
  <si>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</si>
  <si>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</si>
  <si>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</si>
  <si>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</si>
  <si>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</si>
  <si>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</si>
  <si>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</si>
  <si>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</si>
  <si>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20.07.2015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</si>
  <si>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17.07.15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</si>
</sst>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4" fontId="14" fillId="0" borderId="0" xfId="20" applyNumberFormat="1" applyFont="1" applyAlignment="1" applyProtection="1">
      <alignment horizontal="center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89" sqref="H8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289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261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285</v>
      </c>
      <c r="N3" s="218" t="s">
        <v>286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282</v>
      </c>
      <c r="F4" s="223" t="s">
        <v>116</v>
      </c>
      <c r="G4" s="225" t="s">
        <v>283</v>
      </c>
      <c r="H4" s="227" t="s">
        <v>284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290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287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328348.39999999997</v>
      </c>
      <c r="F8" s="18">
        <f>F9+F15+F18+F19+F20+F32+F17</f>
        <v>332927.98000000004</v>
      </c>
      <c r="G8" s="18">
        <f aca="true" t="shared" si="0" ref="G8:G54">F8-E8</f>
        <v>4579.5800000000745</v>
      </c>
      <c r="H8" s="45">
        <f>F8/E8*100</f>
        <v>101.39473193717407</v>
      </c>
      <c r="I8" s="31">
        <f aca="true" t="shared" si="1" ref="I8:I54">F8-D8</f>
        <v>-184501.01999999996</v>
      </c>
      <c r="J8" s="31">
        <f aca="true" t="shared" si="2" ref="J8:J14">F8/D8*100</f>
        <v>64.34273687790983</v>
      </c>
      <c r="K8" s="18">
        <f>K9+K15+K18+K19+K20+K32</f>
        <v>55616.75400000001</v>
      </c>
      <c r="L8" s="18"/>
      <c r="M8" s="18">
        <f>M9+M15+M18+M19+M20+M32+M17</f>
        <v>46752</v>
      </c>
      <c r="N8" s="18">
        <f>N9+N15+N18+N19+N20+N32+N17</f>
        <v>27808.864999999983</v>
      </c>
      <c r="O8" s="31">
        <f aca="true" t="shared" si="3" ref="O8:O54">N8-M8</f>
        <v>-18943.135000000017</v>
      </c>
      <c r="P8" s="31">
        <f>F8/M8*100</f>
        <v>712.1149469541411</v>
      </c>
      <c r="Q8" s="31">
        <f>N8-33748.16</f>
        <v>-5939.29500000002</v>
      </c>
      <c r="R8" s="125">
        <f>N8/33748.16</f>
        <v>0.8240112942453746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190346.63</v>
      </c>
      <c r="G9" s="43">
        <f t="shared" si="0"/>
        <v>2041.9800000000105</v>
      </c>
      <c r="H9" s="35">
        <f aca="true" t="shared" si="4" ref="H9:H32">F9/E9*100</f>
        <v>101.08440232357512</v>
      </c>
      <c r="I9" s="50">
        <f t="shared" si="1"/>
        <v>-122343.37</v>
      </c>
      <c r="J9" s="50">
        <f t="shared" si="2"/>
        <v>60.87391026256036</v>
      </c>
      <c r="K9" s="132">
        <f>F9-217885.62/75*60</f>
        <v>16038.13400000002</v>
      </c>
      <c r="L9" s="132">
        <f>F9/(217885.62/75*60)*100</f>
        <v>109.2010053256383</v>
      </c>
      <c r="M9" s="35">
        <f>E9-червень!E9</f>
        <v>28146</v>
      </c>
      <c r="N9" s="35">
        <f>F9-червень!F9</f>
        <v>18966.910000000003</v>
      </c>
      <c r="O9" s="47">
        <f t="shared" si="3"/>
        <v>-9179.089999999997</v>
      </c>
      <c r="P9" s="50">
        <f aca="true" t="shared" si="5" ref="P9:P32">N9/M9*100</f>
        <v>67.38758615789101</v>
      </c>
      <c r="Q9" s="132">
        <f>N9-26568.11</f>
        <v>-7601.199999999997</v>
      </c>
      <c r="R9" s="133">
        <f>N9/26568.11</f>
        <v>0.7138976012971944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168821.04</v>
      </c>
      <c r="G10" s="135">
        <f t="shared" si="0"/>
        <v>3590.790000000008</v>
      </c>
      <c r="H10" s="137">
        <f t="shared" si="4"/>
        <v>102.17320375657606</v>
      </c>
      <c r="I10" s="136">
        <f t="shared" si="1"/>
        <v>-71588.95999999999</v>
      </c>
      <c r="J10" s="136">
        <f t="shared" si="2"/>
        <v>70.22213718231355</v>
      </c>
      <c r="K10" s="138">
        <f>F10-193695.6/75*60</f>
        <v>13864.559999999998</v>
      </c>
      <c r="L10" s="138">
        <f>F10/(193695.6/75*60)*100</f>
        <v>108.94738961545849</v>
      </c>
      <c r="M10" s="35">
        <f>E10-червень!E10</f>
        <v>23736</v>
      </c>
      <c r="N10" s="35">
        <f>F10-червень!F10</f>
        <v>16594.140000000014</v>
      </c>
      <c r="O10" s="138">
        <f t="shared" si="3"/>
        <v>-7141.859999999986</v>
      </c>
      <c r="P10" s="136">
        <f t="shared" si="5"/>
        <v>69.91127401415577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9839.85</v>
      </c>
      <c r="G11" s="135">
        <f t="shared" si="0"/>
        <v>-2868.1499999999996</v>
      </c>
      <c r="H11" s="137">
        <f t="shared" si="4"/>
        <v>77.43035882908404</v>
      </c>
      <c r="I11" s="136">
        <f t="shared" si="1"/>
        <v>-13860.15</v>
      </c>
      <c r="J11" s="136">
        <f t="shared" si="2"/>
        <v>41.51835443037975</v>
      </c>
      <c r="K11" s="138">
        <f>F11-13818.75/75*60</f>
        <v>-1215.1499999999996</v>
      </c>
      <c r="L11" s="138">
        <f>F11/(13818.75/75*60)*100</f>
        <v>89.00814111261873</v>
      </c>
      <c r="M11" s="35">
        <f>E11-червень!E11</f>
        <v>1920</v>
      </c>
      <c r="N11" s="35">
        <f>F11-червень!F11</f>
        <v>626.75</v>
      </c>
      <c r="O11" s="138">
        <f t="shared" si="3"/>
        <v>-1293.25</v>
      </c>
      <c r="P11" s="136">
        <f t="shared" si="5"/>
        <v>32.643229166666664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2899.56</v>
      </c>
      <c r="G12" s="135">
        <f t="shared" si="0"/>
        <v>70.55999999999995</v>
      </c>
      <c r="H12" s="137">
        <f t="shared" si="4"/>
        <v>102.49416755037115</v>
      </c>
      <c r="I12" s="136">
        <f t="shared" si="1"/>
        <v>-2900.44</v>
      </c>
      <c r="J12" s="136">
        <f t="shared" si="2"/>
        <v>49.992413793103445</v>
      </c>
      <c r="K12" s="138">
        <f>F12-4382.58/75*60</f>
        <v>-606.5039999999999</v>
      </c>
      <c r="L12" s="138">
        <f>F12/(4382.58*60)*100</f>
        <v>1.1026838072550873</v>
      </c>
      <c r="M12" s="35">
        <f>E12-червень!E12</f>
        <v>330</v>
      </c>
      <c r="N12" s="35">
        <f>F12-червень!F12</f>
        <v>307.02999999999975</v>
      </c>
      <c r="O12" s="138">
        <f t="shared" si="3"/>
        <v>-22.970000000000255</v>
      </c>
      <c r="P12" s="136">
        <f t="shared" si="5"/>
        <v>93.03939393939386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3327.92</v>
      </c>
      <c r="G13" s="135">
        <f t="shared" si="0"/>
        <v>-1785.4799999999996</v>
      </c>
      <c r="H13" s="137">
        <f t="shared" si="4"/>
        <v>65.082332694489</v>
      </c>
      <c r="I13" s="136">
        <f t="shared" si="1"/>
        <v>-5072.08</v>
      </c>
      <c r="J13" s="136">
        <f t="shared" si="2"/>
        <v>39.61809523809524</v>
      </c>
      <c r="K13" s="138">
        <f>F13-5960.54/75*60</f>
        <v>-1440.5119999999997</v>
      </c>
      <c r="L13" s="138">
        <f>F13/(5960.54/75*60)*100</f>
        <v>69.79065655125207</v>
      </c>
      <c r="M13" s="35">
        <f>E13-червень!E13</f>
        <v>1769.9999999999995</v>
      </c>
      <c r="N13" s="35">
        <f>F13-червень!F13</f>
        <v>544.5100000000002</v>
      </c>
      <c r="O13" s="138">
        <f t="shared" si="3"/>
        <v>-1225.4899999999993</v>
      </c>
      <c r="P13" s="136">
        <f t="shared" si="5"/>
        <v>30.76327683615821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5458.27</v>
      </c>
      <c r="G14" s="135">
        <f t="shared" si="0"/>
        <v>3034.2700000000004</v>
      </c>
      <c r="H14" s="137">
        <f t="shared" si="4"/>
        <v>225.1761551155116</v>
      </c>
      <c r="I14" s="136">
        <f t="shared" si="1"/>
        <v>1078.2700000000004</v>
      </c>
      <c r="J14" s="136">
        <f t="shared" si="2"/>
        <v>124.61803652968038</v>
      </c>
      <c r="K14" s="138">
        <f>F14-28.15/75*60</f>
        <v>5435.75</v>
      </c>
      <c r="L14" s="138">
        <f>F14/(28.15/75*60)*100</f>
        <v>24237.43339253997</v>
      </c>
      <c r="M14" s="35">
        <f>E14-червень!E14</f>
        <v>390</v>
      </c>
      <c r="N14" s="35">
        <f>F14-червень!F14</f>
        <v>894.5</v>
      </c>
      <c r="O14" s="138">
        <f t="shared" si="3"/>
        <v>504.5</v>
      </c>
      <c r="P14" s="136">
        <f t="shared" si="5"/>
        <v>229.35897435897434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143">
        <v>-855.72</v>
      </c>
      <c r="G15" s="43">
        <f t="shared" si="0"/>
        <v>-1027.02</v>
      </c>
      <c r="H15" s="35"/>
      <c r="I15" s="50">
        <f t="shared" si="1"/>
        <v>-1355.72</v>
      </c>
      <c r="J15" s="50">
        <f>F15/D15*100</f>
        <v>-171.144</v>
      </c>
      <c r="K15" s="53">
        <f>F15-349.38</f>
        <v>-1205.1</v>
      </c>
      <c r="L15" s="53">
        <f>F15/349.38*100</f>
        <v>-244.92529623905205</v>
      </c>
      <c r="M15" s="35">
        <f>E15-червень!E15</f>
        <v>0</v>
      </c>
      <c r="N15" s="35">
        <f>F15-червень!F15</f>
        <v>2.419999999999959</v>
      </c>
      <c r="O15" s="47">
        <f t="shared" si="3"/>
        <v>2.419999999999959</v>
      </c>
      <c r="P15" s="50"/>
      <c r="Q15" s="50">
        <f>N15-358.81</f>
        <v>-356.39000000000004</v>
      </c>
      <c r="R15" s="126">
        <f>N15/358.81</f>
        <v>0.006744516596527296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F16-850.64</f>
        <v>-2203.74</v>
      </c>
      <c r="L16" s="138">
        <f>F16/850.64*100</f>
        <v>-159.06846609611586</v>
      </c>
      <c r="M16" s="35">
        <f>E16-червень!E16</f>
        <v>0</v>
      </c>
      <c r="N16" s="35">
        <f>F16-червень!F16</f>
        <v>0</v>
      </c>
      <c r="O16" s="138">
        <f t="shared" si="3"/>
        <v>0</v>
      </c>
      <c r="P16" s="50"/>
      <c r="Q16" s="136">
        <f>N16-358.81</f>
        <v>-358.81</v>
      </c>
      <c r="R16" s="141">
        <f>N16/358.79</f>
        <v>0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26222.75</v>
      </c>
      <c r="F19" s="168">
        <v>30437.23</v>
      </c>
      <c r="G19" s="43">
        <f t="shared" si="0"/>
        <v>4214.48</v>
      </c>
      <c r="H19" s="35">
        <f t="shared" si="4"/>
        <v>116.07184601157392</v>
      </c>
      <c r="I19" s="50">
        <f t="shared" si="1"/>
        <v>487.22999999999956</v>
      </c>
      <c r="J19" s="178">
        <f>F19/D19*100</f>
        <v>101.62681135225375</v>
      </c>
      <c r="K19" s="179">
        <f>F19-0</f>
        <v>30437.23</v>
      </c>
      <c r="L19" s="180"/>
      <c r="M19" s="35">
        <f>E19-червень!E19</f>
        <v>2720</v>
      </c>
      <c r="N19" s="35">
        <f>F19-червень!F19</f>
        <v>320.7360000000008</v>
      </c>
      <c r="O19" s="47">
        <f t="shared" si="3"/>
        <v>-2399.263999999999</v>
      </c>
      <c r="P19" s="50">
        <f t="shared" si="5"/>
        <v>11.791764705882382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109634.7</v>
      </c>
      <c r="F20" s="169">
        <f>F21+F25+F27+F26</f>
        <v>108960.20999999999</v>
      </c>
      <c r="G20" s="43">
        <f t="shared" si="0"/>
        <v>-674.4900000000052</v>
      </c>
      <c r="H20" s="35">
        <f t="shared" si="4"/>
        <v>99.38478419697412</v>
      </c>
      <c r="I20" s="50">
        <f t="shared" si="1"/>
        <v>-57809.79000000001</v>
      </c>
      <c r="J20" s="178">
        <f aca="true" t="shared" si="6" ref="J20:J46">F20/D20*100</f>
        <v>65.33561791689152</v>
      </c>
      <c r="K20" s="178">
        <f>K21+K25+K26+K27</f>
        <v>11618.32999999999</v>
      </c>
      <c r="L20" s="136"/>
      <c r="M20" s="35">
        <f>E20-червень!E20</f>
        <v>15878.800000000003</v>
      </c>
      <c r="N20" s="35">
        <f>F20-червень!F20</f>
        <v>8515.858999999982</v>
      </c>
      <c r="O20" s="47">
        <f t="shared" si="3"/>
        <v>-7362.941000000021</v>
      </c>
      <c r="P20" s="50">
        <f t="shared" si="5"/>
        <v>53.63036879361148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57678.2</v>
      </c>
      <c r="F21" s="169">
        <f>F22+F23+F24</f>
        <v>57711.92</v>
      </c>
      <c r="G21" s="43">
        <f t="shared" si="0"/>
        <v>33.720000000001164</v>
      </c>
      <c r="H21" s="35">
        <f t="shared" si="4"/>
        <v>100.05846229598012</v>
      </c>
      <c r="I21" s="50">
        <f t="shared" si="1"/>
        <v>-40488.08</v>
      </c>
      <c r="J21" s="178">
        <f t="shared" si="6"/>
        <v>58.76977596741344</v>
      </c>
      <c r="K21" s="178">
        <f>K22+K23+K24</f>
        <v>10350.659999999996</v>
      </c>
      <c r="L21" s="136"/>
      <c r="M21" s="35">
        <f>E21-червень!E21</f>
        <v>9321</v>
      </c>
      <c r="N21" s="35">
        <f>F21-червень!F21</f>
        <v>2954.603999999992</v>
      </c>
      <c r="O21" s="47">
        <f t="shared" si="3"/>
        <v>-6366.396000000008</v>
      </c>
      <c r="P21" s="50">
        <f t="shared" si="5"/>
        <v>31.698358545220383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579.2</v>
      </c>
      <c r="F22" s="144">
        <v>5648.65</v>
      </c>
      <c r="G22" s="135">
        <f t="shared" si="0"/>
        <v>5069.45</v>
      </c>
      <c r="H22" s="137">
        <f t="shared" si="4"/>
        <v>975.2503453038672</v>
      </c>
      <c r="I22" s="136">
        <f t="shared" si="1"/>
        <v>4648.65</v>
      </c>
      <c r="J22" s="136">
        <f t="shared" si="6"/>
        <v>564.865</v>
      </c>
      <c r="K22" s="136">
        <f>F22-259.1</f>
        <v>5389.549999999999</v>
      </c>
      <c r="L22" s="136">
        <f>F22/259.1*100</f>
        <v>2180.1042068699344</v>
      </c>
      <c r="M22" s="35">
        <f>E22-червень!E22</f>
        <v>213.00000000000006</v>
      </c>
      <c r="N22" s="35">
        <f>F22-червень!F22</f>
        <v>691.5469999999996</v>
      </c>
      <c r="O22" s="138">
        <f t="shared" si="3"/>
        <v>478.5469999999995</v>
      </c>
      <c r="P22" s="136">
        <f t="shared" si="5"/>
        <v>324.6699530516429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550</v>
      </c>
      <c r="F23" s="144">
        <v>525.7</v>
      </c>
      <c r="G23" s="135">
        <f t="shared" si="0"/>
        <v>-24.299999999999955</v>
      </c>
      <c r="H23" s="137"/>
      <c r="I23" s="136">
        <f t="shared" si="1"/>
        <v>-974.3</v>
      </c>
      <c r="J23" s="136">
        <f t="shared" si="6"/>
        <v>35.04666666666667</v>
      </c>
      <c r="K23" s="136">
        <f>F23-0</f>
        <v>525.7</v>
      </c>
      <c r="L23" s="136"/>
      <c r="M23" s="35">
        <f>E23-червень!E23</f>
        <v>300</v>
      </c>
      <c r="N23" s="35">
        <f>F23-червень!F23</f>
        <v>315.02000000000004</v>
      </c>
      <c r="O23" s="138">
        <f t="shared" si="3"/>
        <v>15.020000000000039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56549</v>
      </c>
      <c r="F24" s="144">
        <v>51537.57</v>
      </c>
      <c r="G24" s="135">
        <f t="shared" si="0"/>
        <v>-5011.43</v>
      </c>
      <c r="H24" s="137">
        <f t="shared" si="4"/>
        <v>91.13789810606731</v>
      </c>
      <c r="I24" s="136">
        <f t="shared" si="1"/>
        <v>-44162.43</v>
      </c>
      <c r="J24" s="136">
        <f t="shared" si="6"/>
        <v>53.85326018808777</v>
      </c>
      <c r="K24" s="139">
        <f>F24-47102.16</f>
        <v>4435.409999999996</v>
      </c>
      <c r="L24" s="139">
        <f>F24/47102.16*100</f>
        <v>109.41657452651852</v>
      </c>
      <c r="M24" s="35">
        <f>E24-червень!E24</f>
        <v>8808</v>
      </c>
      <c r="N24" s="35">
        <f>F24-червень!F24</f>
        <v>1948.0369999999966</v>
      </c>
      <c r="O24" s="138">
        <f t="shared" si="3"/>
        <v>-6859.963000000003</v>
      </c>
      <c r="P24" s="136">
        <f t="shared" si="5"/>
        <v>22.116678019981798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37.75</v>
      </c>
      <c r="G25" s="43">
        <f t="shared" si="0"/>
        <v>7.75</v>
      </c>
      <c r="H25" s="35">
        <f t="shared" si="4"/>
        <v>125.83333333333333</v>
      </c>
      <c r="I25" s="50">
        <f t="shared" si="1"/>
        <v>-32.25</v>
      </c>
      <c r="J25" s="178">
        <f t="shared" si="6"/>
        <v>53.92857142857142</v>
      </c>
      <c r="K25" s="178">
        <f>F25-34</f>
        <v>3.75</v>
      </c>
      <c r="L25" s="178">
        <f>F25/34*100</f>
        <v>111.02941176470588</v>
      </c>
      <c r="M25" s="35">
        <f>E25-червень!E25</f>
        <v>7.800000000000001</v>
      </c>
      <c r="N25" s="35">
        <f>F25-червень!F25</f>
        <v>0.3260000000000005</v>
      </c>
      <c r="O25" s="47">
        <f t="shared" si="3"/>
        <v>-7.474</v>
      </c>
      <c r="P25" s="50">
        <f t="shared" si="5"/>
        <v>4.179487179487186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-430.63</v>
      </c>
      <c r="G26" s="43">
        <f t="shared" si="0"/>
        <v>-430.63</v>
      </c>
      <c r="H26" s="35"/>
      <c r="I26" s="50">
        <f t="shared" si="1"/>
        <v>-430.63</v>
      </c>
      <c r="J26" s="136"/>
      <c r="K26" s="178">
        <f>F26-3736.89</f>
        <v>-4167.5199999999995</v>
      </c>
      <c r="L26" s="178">
        <f>F26/3736.89*100</f>
        <v>-11.523753709635551</v>
      </c>
      <c r="M26" s="35">
        <f>E26-червень!E26</f>
        <v>0</v>
      </c>
      <c r="N26" s="35">
        <f>F26-червень!F26</f>
        <v>-27.271000000000015</v>
      </c>
      <c r="O26" s="47">
        <f t="shared" si="3"/>
        <v>-27.271000000000015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51926.5</v>
      </c>
      <c r="F27" s="168">
        <v>51641.17</v>
      </c>
      <c r="G27" s="43">
        <f t="shared" si="0"/>
        <v>-285.33000000000175</v>
      </c>
      <c r="H27" s="35">
        <f t="shared" si="4"/>
        <v>99.45051178107516</v>
      </c>
      <c r="I27" s="50">
        <f t="shared" si="1"/>
        <v>-16858.83</v>
      </c>
      <c r="J27" s="178">
        <f t="shared" si="6"/>
        <v>75.3885693430657</v>
      </c>
      <c r="K27" s="132">
        <f>F27-46209.73</f>
        <v>5431.439999999995</v>
      </c>
      <c r="L27" s="132">
        <f>F27/46209.73*100</f>
        <v>111.7538881962738</v>
      </c>
      <c r="M27" s="35">
        <f>E27-червень!E27</f>
        <v>6550</v>
      </c>
      <c r="N27" s="35">
        <f>F27-червень!F27</f>
        <v>5588.199999999997</v>
      </c>
      <c r="O27" s="47">
        <f t="shared" si="3"/>
        <v>-961.8000000000029</v>
      </c>
      <c r="P27" s="50">
        <f t="shared" si="5"/>
        <v>85.3160305343511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12252.08</v>
      </c>
      <c r="G29" s="135">
        <f t="shared" si="0"/>
        <v>12.079999999999927</v>
      </c>
      <c r="H29" s="137">
        <f t="shared" si="4"/>
        <v>100.09869281045751</v>
      </c>
      <c r="I29" s="136">
        <f t="shared" si="1"/>
        <v>-4247.92</v>
      </c>
      <c r="J29" s="136">
        <f t="shared" si="6"/>
        <v>74.2550303030303</v>
      </c>
      <c r="K29" s="139">
        <f>F29-12569.54</f>
        <v>-317.46000000000095</v>
      </c>
      <c r="L29" s="139">
        <f>F29/12569.54*100</f>
        <v>97.47437058158054</v>
      </c>
      <c r="M29" s="35">
        <f>E29-червень!E29</f>
        <v>1200</v>
      </c>
      <c r="N29" s="35">
        <f>F29-червень!F29</f>
        <v>828.9200000000001</v>
      </c>
      <c r="O29" s="138">
        <f t="shared" si="3"/>
        <v>-371.0799999999999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39381.49</v>
      </c>
      <c r="G30" s="135">
        <f t="shared" si="0"/>
        <v>-305.01000000000204</v>
      </c>
      <c r="H30" s="137">
        <f t="shared" si="4"/>
        <v>99.23145150114017</v>
      </c>
      <c r="I30" s="136">
        <f t="shared" si="1"/>
        <v>-12618.510000000002</v>
      </c>
      <c r="J30" s="136">
        <f t="shared" si="6"/>
        <v>75.73363461538462</v>
      </c>
      <c r="K30" s="139">
        <f>F30-33639.82</f>
        <v>5741.669999999998</v>
      </c>
      <c r="L30" s="139">
        <f>F30/33639.82*100</f>
        <v>117.06807586960927</v>
      </c>
      <c r="M30" s="35">
        <f>E30-червень!E30</f>
        <v>5350</v>
      </c>
      <c r="N30" s="35">
        <f>F30-червень!F30</f>
        <v>4758.639999999999</v>
      </c>
      <c r="O30" s="138">
        <f t="shared" si="3"/>
        <v>-591.3600000000006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8.8</v>
      </c>
      <c r="G31" s="135">
        <f t="shared" si="0"/>
        <v>8.8</v>
      </c>
      <c r="H31" s="137"/>
      <c r="I31" s="136">
        <f t="shared" si="1"/>
        <v>8.8</v>
      </c>
      <c r="J31" s="136"/>
      <c r="K31" s="139">
        <f>F31-0</f>
        <v>8.8</v>
      </c>
      <c r="L31" s="139"/>
      <c r="M31" s="35">
        <f>E31-червень!E31</f>
        <v>0</v>
      </c>
      <c r="N31" s="35">
        <f>F31-червень!F31</f>
        <v>0.6300000000000008</v>
      </c>
      <c r="O31" s="138">
        <f t="shared" si="3"/>
        <v>0.6300000000000008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4023.74</v>
      </c>
      <c r="G32" s="43">
        <f t="shared" si="0"/>
        <v>21.73999999999978</v>
      </c>
      <c r="H32" s="35">
        <f t="shared" si="4"/>
        <v>100.5432283858071</v>
      </c>
      <c r="I32" s="50">
        <f t="shared" si="1"/>
        <v>-3476.26</v>
      </c>
      <c r="J32" s="178">
        <f t="shared" si="6"/>
        <v>53.64986666666667</v>
      </c>
      <c r="K32" s="178">
        <f>F32-5308.17</f>
        <v>-1284.4300000000003</v>
      </c>
      <c r="L32" s="178">
        <f>F32/5308.17*100</f>
        <v>75.80277195342275</v>
      </c>
      <c r="M32" s="35">
        <f>E32-червень!E32</f>
        <v>7.199999999999818</v>
      </c>
      <c r="N32" s="35">
        <f>F32-червень!F32</f>
        <v>2.9399999999996</v>
      </c>
      <c r="O32" s="47">
        <f t="shared" si="3"/>
        <v>-4.260000000000218</v>
      </c>
      <c r="P32" s="50">
        <f t="shared" si="5"/>
        <v>40.83333333332881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7175</v>
      </c>
      <c r="F33" s="18">
        <f>F34+F35+F36+F37+F38+F41+F42+F47+F48+F52+F40+F39</f>
        <v>17928.61</v>
      </c>
      <c r="G33" s="44">
        <f t="shared" si="0"/>
        <v>10753.61</v>
      </c>
      <c r="H33" s="45">
        <f>F33/E33*100</f>
        <v>249.8760975609756</v>
      </c>
      <c r="I33" s="31">
        <f t="shared" si="1"/>
        <v>5361.51</v>
      </c>
      <c r="J33" s="31">
        <f t="shared" si="6"/>
        <v>142.66306466885757</v>
      </c>
      <c r="K33" s="18">
        <f>K34+K35+K36+K37+K38+K41+K42+K47+K48+K52+K40</f>
        <v>10486.21</v>
      </c>
      <c r="L33" s="18"/>
      <c r="M33" s="18">
        <f>M34+M35+M36+M37+M38+M41+M42+M47+M48+M52+M40+M39</f>
        <v>1057.5</v>
      </c>
      <c r="N33" s="18">
        <f>N34+N35+N36+N37+N38+N41+N42+N47+N48+N52+N40+N39</f>
        <v>2055.61</v>
      </c>
      <c r="O33" s="49">
        <f t="shared" si="3"/>
        <v>998.1100000000001</v>
      </c>
      <c r="P33" s="31">
        <f>N33/M33*100</f>
        <v>194.3839243498818</v>
      </c>
      <c r="Q33" s="31">
        <f>N33-1017.63</f>
        <v>1037.98</v>
      </c>
      <c r="R33" s="127">
        <f>N33/1017.63</f>
        <v>2.0199974450438765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105</v>
      </c>
      <c r="F34" s="143">
        <v>100.4</v>
      </c>
      <c r="G34" s="43">
        <f t="shared" si="0"/>
        <v>-4.599999999999994</v>
      </c>
      <c r="H34" s="35">
        <f>F34/E34*100</f>
        <v>95.61904761904762</v>
      </c>
      <c r="I34" s="50">
        <f t="shared" si="1"/>
        <v>-99.6</v>
      </c>
      <c r="J34" s="50">
        <f t="shared" si="6"/>
        <v>50.2</v>
      </c>
      <c r="K34" s="50">
        <f>F34-106.29</f>
        <v>-5.890000000000001</v>
      </c>
      <c r="L34" s="50">
        <f>F34/106.29*100</f>
        <v>94.45855677862451</v>
      </c>
      <c r="M34" s="35">
        <f>E34-червень!E34</f>
        <v>10</v>
      </c>
      <c r="N34" s="35">
        <f>F34-червень!F34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211.78</v>
      </c>
      <c r="G36" s="43">
        <f t="shared" si="0"/>
        <v>211.78</v>
      </c>
      <c r="H36" s="35"/>
      <c r="I36" s="50">
        <f t="shared" si="1"/>
        <v>211.78</v>
      </c>
      <c r="J36" s="50"/>
      <c r="K36" s="50">
        <f>F36-214.58</f>
        <v>-2.8000000000000114</v>
      </c>
      <c r="L36" s="50">
        <f>F36/214.58*100</f>
        <v>98.69512536117065</v>
      </c>
      <c r="M36" s="35">
        <f>E36-червень!E36</f>
        <v>0</v>
      </c>
      <c r="N36" s="35">
        <f>F36-червень!F36</f>
        <v>23.599999999999994</v>
      </c>
      <c r="O36" s="47">
        <f t="shared" si="3"/>
        <v>23.599999999999994</v>
      </c>
      <c r="P36" s="50"/>
      <c r="Q36" s="50">
        <f>N36-4.23</f>
        <v>19.369999999999994</v>
      </c>
      <c r="R36" s="126">
        <f>N36/4.23</f>
        <v>5.579196217494088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86.77</v>
      </c>
      <c r="G38" s="43">
        <f t="shared" si="0"/>
        <v>6.769999999999996</v>
      </c>
      <c r="H38" s="35">
        <f>F38/E38*100</f>
        <v>108.46249999999999</v>
      </c>
      <c r="I38" s="50">
        <f t="shared" si="1"/>
        <v>-53.230000000000004</v>
      </c>
      <c r="J38" s="50">
        <f t="shared" si="6"/>
        <v>61.97857142857143</v>
      </c>
      <c r="K38" s="50">
        <f>F38-78.24</f>
        <v>8.530000000000001</v>
      </c>
      <c r="L38" s="50">
        <f>F38/78.24*100</f>
        <v>110.9023517382413</v>
      </c>
      <c r="M38" s="35">
        <f>E38-червень!E38</f>
        <v>15</v>
      </c>
      <c r="N38" s="35">
        <f>F38-червень!F38</f>
        <v>5.1499999999999915</v>
      </c>
      <c r="O38" s="47">
        <f t="shared" si="3"/>
        <v>-9.850000000000009</v>
      </c>
      <c r="P38" s="50">
        <f>N38/M38*100</f>
        <v>34.33333333333328</v>
      </c>
      <c r="Q38" s="50">
        <f>N38-9.02</f>
        <v>-3.870000000000008</v>
      </c>
      <c r="R38" s="126">
        <f>N38/9.02</f>
        <v>0.5709534368070944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5506.97</v>
      </c>
      <c r="G40" s="43"/>
      <c r="H40" s="35"/>
      <c r="I40" s="50">
        <f t="shared" si="1"/>
        <v>5506.97</v>
      </c>
      <c r="J40" s="50"/>
      <c r="K40" s="50">
        <f>F40-0</f>
        <v>5506.97</v>
      </c>
      <c r="L40" s="50"/>
      <c r="M40" s="35">
        <f>E40-червень!E40</f>
        <v>0</v>
      </c>
      <c r="N40" s="35">
        <f>F40-червень!F40</f>
        <v>579.3699999999999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5141.68</v>
      </c>
      <c r="G41" s="43">
        <f t="shared" si="0"/>
        <v>1071.6800000000003</v>
      </c>
      <c r="H41" s="35">
        <f>F41/E41*100</f>
        <v>126.33120393120394</v>
      </c>
      <c r="I41" s="50">
        <f t="shared" si="1"/>
        <v>-1758.3199999999997</v>
      </c>
      <c r="J41" s="50">
        <f t="shared" si="6"/>
        <v>74.51710144927537</v>
      </c>
      <c r="K41" s="50">
        <f>F41-4143.38</f>
        <v>998.3000000000002</v>
      </c>
      <c r="L41" s="50">
        <f>F41/4143.38*100</f>
        <v>124.09385574096513</v>
      </c>
      <c r="M41" s="35">
        <f>E41-червень!E41</f>
        <v>550</v>
      </c>
      <c r="N41" s="35">
        <f>F41-червень!F41</f>
        <v>838.9700000000003</v>
      </c>
      <c r="O41" s="47">
        <f t="shared" si="3"/>
        <v>288.97000000000025</v>
      </c>
      <c r="P41" s="50">
        <f>N41/M41*100</f>
        <v>152.54000000000005</v>
      </c>
      <c r="Q41" s="50">
        <f>N41-647.49</f>
        <v>191.48000000000025</v>
      </c>
      <c r="R41" s="126">
        <f>N41/647.49</f>
        <v>1.2957265749277984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562</v>
      </c>
      <c r="F42" s="143">
        <v>4400.92</v>
      </c>
      <c r="G42" s="43">
        <f t="shared" si="0"/>
        <v>3838.92</v>
      </c>
      <c r="H42" s="35">
        <f>F42/E42*100</f>
        <v>783.0818505338078</v>
      </c>
      <c r="I42" s="50">
        <f t="shared" si="1"/>
        <v>3300.92</v>
      </c>
      <c r="J42" s="50">
        <f t="shared" si="6"/>
        <v>400.08363636363634</v>
      </c>
      <c r="K42" s="50">
        <f>F42-531.41</f>
        <v>3869.51</v>
      </c>
      <c r="L42" s="50">
        <f>F42/531.41*100</f>
        <v>828.1590485689018</v>
      </c>
      <c r="M42" s="35">
        <f>E42-червень!E42</f>
        <v>112</v>
      </c>
      <c r="N42" s="35">
        <f>F42-червень!F42</f>
        <v>367.6800000000003</v>
      </c>
      <c r="O42" s="47">
        <f t="shared" si="3"/>
        <v>255.6800000000003</v>
      </c>
      <c r="P42" s="50">
        <f>N42/M42*100</f>
        <v>328.28571428571456</v>
      </c>
      <c r="Q42" s="50">
        <f>N42-79.51</f>
        <v>288.1700000000003</v>
      </c>
      <c r="R42" s="126">
        <f>N42/79.51</f>
        <v>4.624323984404481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633.6</v>
      </c>
      <c r="G43" s="135">
        <f t="shared" si="0"/>
        <v>143.60000000000002</v>
      </c>
      <c r="H43" s="137">
        <f>F43/E43*100</f>
        <v>129.30612244897958</v>
      </c>
      <c r="I43" s="136">
        <f t="shared" si="1"/>
        <v>-336.4</v>
      </c>
      <c r="J43" s="136">
        <f t="shared" si="6"/>
        <v>65.31958762886599</v>
      </c>
      <c r="K43" s="136">
        <f>F43-359.18</f>
        <v>274.42</v>
      </c>
      <c r="L43" s="136">
        <f>F43/359.18*100</f>
        <v>176.40180410936023</v>
      </c>
      <c r="M43" s="35">
        <f>E43-червень!E43</f>
        <v>100</v>
      </c>
      <c r="N43" s="35">
        <f>F43-червень!F43</f>
        <v>50.860000000000014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</v>
      </c>
      <c r="G44" s="135">
        <f t="shared" si="0"/>
        <v>45.4</v>
      </c>
      <c r="H44" s="137"/>
      <c r="I44" s="136">
        <f t="shared" si="1"/>
        <v>45.4</v>
      </c>
      <c r="J44" s="136"/>
      <c r="K44" s="136">
        <f>F44-0</f>
        <v>45.4</v>
      </c>
      <c r="L44" s="136"/>
      <c r="M44" s="35">
        <f>E44-червень!E44</f>
        <v>0</v>
      </c>
      <c r="N44" s="35">
        <f>F44-червень!F44</f>
        <v>0.25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3721.17</v>
      </c>
      <c r="G46" s="135">
        <f t="shared" si="0"/>
        <v>3649.17</v>
      </c>
      <c r="H46" s="137">
        <f>F46/E46*100</f>
        <v>5168.291666666667</v>
      </c>
      <c r="I46" s="136">
        <f t="shared" si="1"/>
        <v>3591.17</v>
      </c>
      <c r="J46" s="136">
        <f t="shared" si="6"/>
        <v>2862.4384615384615</v>
      </c>
      <c r="K46" s="136">
        <f>F46-56.15</f>
        <v>3665.02</v>
      </c>
      <c r="L46" s="136">
        <f>F46/56.15*100</f>
        <v>6627.19501335708</v>
      </c>
      <c r="M46" s="35">
        <f>E46-червень!E46</f>
        <v>-8</v>
      </c>
      <c r="N46" s="35">
        <f>F46-червень!F46</f>
        <v>316.57000000000016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2476.49</v>
      </c>
      <c r="G48" s="43">
        <f t="shared" si="0"/>
        <v>126.48999999999978</v>
      </c>
      <c r="H48" s="35">
        <f>F48/E48*100</f>
        <v>105.38255319148935</v>
      </c>
      <c r="I48" s="50">
        <f t="shared" si="1"/>
        <v>-1723.5100000000002</v>
      </c>
      <c r="J48" s="50">
        <f>F48/D48*100</f>
        <v>58.96404761904761</v>
      </c>
      <c r="K48" s="50">
        <f>F48-2346.09</f>
        <v>130.39999999999964</v>
      </c>
      <c r="L48" s="50">
        <f>F48/2346.09*100</f>
        <v>105.55818404238539</v>
      </c>
      <c r="M48" s="35">
        <f>E48-червень!E48</f>
        <v>370</v>
      </c>
      <c r="N48" s="35">
        <f>F48-червень!F48</f>
        <v>240.3399999999997</v>
      </c>
      <c r="O48" s="47">
        <f t="shared" si="3"/>
        <v>-129.6600000000003</v>
      </c>
      <c r="P48" s="50">
        <f aca="true" t="shared" si="7" ref="P48:P53">N48/M48*100</f>
        <v>64.95675675675668</v>
      </c>
      <c r="Q48" s="50">
        <f>N48-277.38</f>
        <v>-37.040000000000305</v>
      </c>
      <c r="R48" s="126">
        <f>N48/277.38</f>
        <v>0.8664647775614669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650.6</v>
      </c>
      <c r="G51" s="135">
        <f t="shared" si="0"/>
        <v>650.6</v>
      </c>
      <c r="H51" s="137"/>
      <c r="I51" s="136">
        <f t="shared" si="1"/>
        <v>650.6</v>
      </c>
      <c r="J51" s="136"/>
      <c r="K51" s="136">
        <f>F51-469.9</f>
        <v>180.70000000000005</v>
      </c>
      <c r="L51" s="138">
        <f>F51/469.9*100</f>
        <v>138.45499042349437</v>
      </c>
      <c r="M51" s="35">
        <f>E51-червень!E51</f>
        <v>0</v>
      </c>
      <c r="N51" s="35">
        <f>F51-червень!F51</f>
        <v>73.20000000000005</v>
      </c>
      <c r="O51" s="138">
        <f t="shared" si="3"/>
        <v>73.20000000000005</v>
      </c>
      <c r="P51" s="136"/>
      <c r="Q51" s="50">
        <f>N51-64.93</f>
        <v>8.270000000000039</v>
      </c>
      <c r="R51" s="126">
        <f>N51/64.93</f>
        <v>1.1273679346989072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6.52</v>
      </c>
      <c r="G53" s="43">
        <f t="shared" si="0"/>
        <v>-8.48</v>
      </c>
      <c r="H53" s="35">
        <f>F53/E53*100</f>
        <v>43.46666666666666</v>
      </c>
      <c r="I53" s="50">
        <f t="shared" si="1"/>
        <v>-19.98</v>
      </c>
      <c r="J53" s="50">
        <f>F53/D53*100</f>
        <v>24.603773584905657</v>
      </c>
      <c r="K53" s="50">
        <f>F53-15.43</f>
        <v>-8.91</v>
      </c>
      <c r="L53" s="50">
        <f>F53/15.43*100</f>
        <v>42.255346727154894</v>
      </c>
      <c r="M53" s="35">
        <f>E53-червень!E53</f>
        <v>2.1999999999999993</v>
      </c>
      <c r="N53" s="35">
        <f>F53-червень!F53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E54-червень!E54</f>
        <v>0</v>
      </c>
      <c r="N54" s="35">
        <f>F54-червень!F54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335538.39999999997</v>
      </c>
      <c r="F55" s="18">
        <f>F8+F33+F53+F54</f>
        <v>350863.13000000006</v>
      </c>
      <c r="G55" s="44">
        <f>F55-E55</f>
        <v>15324.730000000098</v>
      </c>
      <c r="H55" s="45">
        <f>F55/E55*100</f>
        <v>104.56720601874483</v>
      </c>
      <c r="I55" s="31">
        <f>F55-D55</f>
        <v>-179159.4699999999</v>
      </c>
      <c r="J55" s="31">
        <f>F55/D55*100</f>
        <v>66.19776779329788</v>
      </c>
      <c r="K55" s="31">
        <f>K8+K33+K53+K54</f>
        <v>66093.994</v>
      </c>
      <c r="L55" s="31">
        <f>F55/(F55-K55)*100</f>
        <v>123.20967606545676</v>
      </c>
      <c r="M55" s="18">
        <f>M8+M33+M53+M54</f>
        <v>47811.7</v>
      </c>
      <c r="N55" s="18">
        <f>N8+N33+N53+N54</f>
        <v>29864.474999999984</v>
      </c>
      <c r="O55" s="49">
        <f>N55-M55</f>
        <v>-17947.225000000013</v>
      </c>
      <c r="P55" s="31">
        <f>N55/M55*100</f>
        <v>62.46269218622217</v>
      </c>
      <c r="Q55" s="31">
        <f>N55-34768</f>
        <v>-4903.525000000016</v>
      </c>
      <c r="R55" s="171">
        <f>N55/34768</f>
        <v>0.8589644213069485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-44.17</v>
      </c>
      <c r="G61" s="43">
        <f aca="true" t="shared" si="8" ref="G61:G68">F61-E61</f>
        <v>-44.17</v>
      </c>
      <c r="H61" s="35"/>
      <c r="I61" s="53">
        <f aca="true" t="shared" si="9" ref="I61:I68">F61-D61</f>
        <v>-44.17</v>
      </c>
      <c r="J61" s="53"/>
      <c r="K61" s="47">
        <f>F61-183.34</f>
        <v>-227.51</v>
      </c>
      <c r="L61" s="53"/>
      <c r="M61" s="35">
        <v>0</v>
      </c>
      <c r="N61" s="36">
        <f>F61-червень!F61</f>
        <v>-13.130000000000003</v>
      </c>
      <c r="O61" s="47">
        <f aca="true" t="shared" si="10" ref="O61:O68">N61-M61</f>
        <v>-13.130000000000003</v>
      </c>
      <c r="P61" s="53"/>
      <c r="Q61" s="53">
        <f>N61-24.53</f>
        <v>-37.660000000000004</v>
      </c>
      <c r="R61" s="129">
        <f>N61/24.53</f>
        <v>-0.5352629433346923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-44.17</v>
      </c>
      <c r="G62" s="55">
        <f t="shared" si="8"/>
        <v>-44.17</v>
      </c>
      <c r="H62" s="65"/>
      <c r="I62" s="54">
        <f t="shared" si="9"/>
        <v>-44.17</v>
      </c>
      <c r="J62" s="54"/>
      <c r="K62" s="54">
        <f>K60+K61</f>
        <v>-226.37</v>
      </c>
      <c r="L62" s="54"/>
      <c r="M62" s="55">
        <f>M61</f>
        <v>0</v>
      </c>
      <c r="N62" s="33">
        <f>SUM(N60:N61)</f>
        <v>-13.130000000000003</v>
      </c>
      <c r="O62" s="54">
        <f t="shared" si="10"/>
        <v>-13.130000000000003</v>
      </c>
      <c r="P62" s="54"/>
      <c r="Q62" s="54">
        <f>N62-92.85</f>
        <v>-105.97999999999999</v>
      </c>
      <c r="R62" s="130">
        <f>N62/92.85</f>
        <v>-0.14141087775982772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592.97</v>
      </c>
      <c r="G64" s="43">
        <f t="shared" si="8"/>
        <v>192.97000000000003</v>
      </c>
      <c r="H64" s="35"/>
      <c r="I64" s="53">
        <f t="shared" si="9"/>
        <v>-1907.03</v>
      </c>
      <c r="J64" s="53">
        <f t="shared" si="11"/>
        <v>23.7188</v>
      </c>
      <c r="K64" s="53">
        <f>F64-1678.13</f>
        <v>-1085.16</v>
      </c>
      <c r="L64" s="53">
        <f>F64/1678.13*100</f>
        <v>35.335164736939326</v>
      </c>
      <c r="M64" s="35">
        <f>E64-червень!E64</f>
        <v>0</v>
      </c>
      <c r="N64" s="35">
        <f>F64-червень!F64</f>
        <v>398.97</v>
      </c>
      <c r="O64" s="47">
        <f t="shared" si="10"/>
        <v>398.97</v>
      </c>
      <c r="P64" s="53"/>
      <c r="Q64" s="53">
        <f>N64-0.04</f>
        <v>398.93</v>
      </c>
      <c r="R64" s="129">
        <f>N64/0.04</f>
        <v>9974.25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3306.36</v>
      </c>
      <c r="G65" s="43">
        <f t="shared" si="8"/>
        <v>-406.4000000000001</v>
      </c>
      <c r="H65" s="35">
        <f>F65/E65*100</f>
        <v>89.05396524418492</v>
      </c>
      <c r="I65" s="53">
        <f t="shared" si="9"/>
        <v>-8269.64</v>
      </c>
      <c r="J65" s="53">
        <f t="shared" si="11"/>
        <v>28.56219765031099</v>
      </c>
      <c r="K65" s="53">
        <f>F65-2235.97</f>
        <v>1070.3900000000003</v>
      </c>
      <c r="L65" s="53">
        <f>F65/2235.97*100</f>
        <v>147.87139362334918</v>
      </c>
      <c r="M65" s="35">
        <f>E65-червень!E65</f>
        <v>1213.0600000000004</v>
      </c>
      <c r="N65" s="35">
        <f>F65-червень!F65</f>
        <v>49.289999999999964</v>
      </c>
      <c r="O65" s="47">
        <f t="shared" si="10"/>
        <v>-1163.7700000000004</v>
      </c>
      <c r="P65" s="53">
        <f>N65/M65*100</f>
        <v>4.063277991195815</v>
      </c>
      <c r="Q65" s="53">
        <f>N65-450.01</f>
        <v>-400.72</v>
      </c>
      <c r="R65" s="129">
        <f>N65/450.01</f>
        <v>0.10953089931334851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1818.42</v>
      </c>
      <c r="G66" s="43">
        <f t="shared" si="8"/>
        <v>929.82</v>
      </c>
      <c r="H66" s="35">
        <f>F66/E66*100</f>
        <v>204.6387575962188</v>
      </c>
      <c r="I66" s="53">
        <f t="shared" si="9"/>
        <v>-1181.58</v>
      </c>
      <c r="J66" s="53">
        <f t="shared" si="11"/>
        <v>60.614000000000004</v>
      </c>
      <c r="K66" s="53">
        <f>F66-764.22</f>
        <v>1054.2</v>
      </c>
      <c r="L66" s="53">
        <f>F66/764.22*100</f>
        <v>237.94457093507106</v>
      </c>
      <c r="M66" s="35">
        <f>E66-червень!E66</f>
        <v>148.10000000000002</v>
      </c>
      <c r="N66" s="35">
        <f>F66-червень!F66</f>
        <v>0</v>
      </c>
      <c r="O66" s="47">
        <f t="shared" si="10"/>
        <v>-148.10000000000002</v>
      </c>
      <c r="P66" s="53">
        <f>N66/M66*100</f>
        <v>0</v>
      </c>
      <c r="Q66" s="53">
        <f>N66-1.05</f>
        <v>-1.05</v>
      </c>
      <c r="R66" s="129">
        <f>N66/1.05</f>
        <v>0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5717.75</v>
      </c>
      <c r="G67" s="55">
        <f t="shared" si="8"/>
        <v>716.3899999999994</v>
      </c>
      <c r="H67" s="65">
        <f>F67/E67*100</f>
        <v>114.32390389813969</v>
      </c>
      <c r="I67" s="54">
        <f t="shared" si="9"/>
        <v>-11358.25</v>
      </c>
      <c r="J67" s="54">
        <f t="shared" si="11"/>
        <v>33.48412977278051</v>
      </c>
      <c r="K67" s="54">
        <f>K64+K65+K66</f>
        <v>1039.4300000000003</v>
      </c>
      <c r="L67" s="54"/>
      <c r="M67" s="55">
        <f>M64+M65+M66</f>
        <v>1361.1600000000003</v>
      </c>
      <c r="N67" s="55">
        <f>N64+N65+N66</f>
        <v>448.26</v>
      </c>
      <c r="O67" s="54">
        <f t="shared" si="10"/>
        <v>-912.9000000000003</v>
      </c>
      <c r="P67" s="54">
        <f>N67/M67*100</f>
        <v>32.93220488406946</v>
      </c>
      <c r="Q67" s="54">
        <f>N67-7985.28</f>
        <v>-7537.0199999999995</v>
      </c>
      <c r="R67" s="173">
        <f>N67/7985.28</f>
        <v>0.05613578985333013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E68-червень!E68</f>
        <v>0</v>
      </c>
      <c r="N68" s="35">
        <f>F68-червень!F68</f>
        <v>0</v>
      </c>
      <c r="O68" s="47">
        <f t="shared" si="10"/>
        <v>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F70-0.52</f>
        <v>0.54</v>
      </c>
      <c r="L70" s="53">
        <f>F70/0.52*100</f>
        <v>203.84615384615384</v>
      </c>
      <c r="M70" s="35">
        <f>E70-червень!E70</f>
        <v>0</v>
      </c>
      <c r="N70" s="35">
        <f>F70-червень!F70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1.06</v>
      </c>
      <c r="G71" s="55">
        <f>F71-E71</f>
        <v>-24.94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-33.11</v>
      </c>
      <c r="L71" s="54"/>
      <c r="M71" s="55">
        <f>M68+M70+M69</f>
        <v>2</v>
      </c>
      <c r="N71" s="55">
        <f>N68+N70+N69</f>
        <v>0</v>
      </c>
      <c r="O71" s="54">
        <f>N71-M71</f>
        <v>-2</v>
      </c>
      <c r="P71" s="54"/>
      <c r="Q71" s="54">
        <f>N71-26.38</f>
        <v>-26.38</v>
      </c>
      <c r="R71" s="128">
        <f>N71/26.38</f>
        <v>0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19.94</v>
      </c>
      <c r="G72" s="43">
        <f>F72-E72</f>
        <v>-3.049999999999997</v>
      </c>
      <c r="H72" s="35">
        <f>F72/E72*100</f>
        <v>86.73336233144848</v>
      </c>
      <c r="I72" s="53">
        <f>F72-D72</f>
        <v>-22.06</v>
      </c>
      <c r="J72" s="53">
        <f>F72/D72*100</f>
        <v>47.476190476190474</v>
      </c>
      <c r="K72" s="53">
        <f>F72-22.4</f>
        <v>-2.4599999999999973</v>
      </c>
      <c r="L72" s="53">
        <f>F72/22.4*100</f>
        <v>89.01785714285715</v>
      </c>
      <c r="M72" s="35">
        <f>E72-червень!E72</f>
        <v>1.1999999999999993</v>
      </c>
      <c r="N72" s="35">
        <f>F72-червень!F72</f>
        <v>0</v>
      </c>
      <c r="O72" s="47">
        <f>N72-M72</f>
        <v>-1.1999999999999993</v>
      </c>
      <c r="P72" s="53">
        <f>N72/M72*100</f>
        <v>0</v>
      </c>
      <c r="Q72" s="53">
        <f>N72-0.45</f>
        <v>-0.45</v>
      </c>
      <c r="R72" s="129">
        <f>N72/0.45</f>
        <v>0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5694.780000000001</v>
      </c>
      <c r="G74" s="44">
        <f>F74-E74</f>
        <v>644.4300000000003</v>
      </c>
      <c r="H74" s="45">
        <f>F74/E74*100</f>
        <v>112.76010573524609</v>
      </c>
      <c r="I74" s="31">
        <f>F74-D74</f>
        <v>-11477.22</v>
      </c>
      <c r="J74" s="31">
        <f>F74/D74*100</f>
        <v>33.163172606568835</v>
      </c>
      <c r="K74" s="31">
        <f>K62+K67+K71+K72</f>
        <v>777.4900000000002</v>
      </c>
      <c r="L74" s="31"/>
      <c r="M74" s="27">
        <f>M62+M72+M67+M71</f>
        <v>1364.3600000000004</v>
      </c>
      <c r="N74" s="27">
        <f>N62+N72+N67+N71+N73</f>
        <v>435.13</v>
      </c>
      <c r="O74" s="31">
        <f>N74-M74</f>
        <v>-929.2300000000004</v>
      </c>
      <c r="P74" s="31">
        <f>N74/M74*100</f>
        <v>31.892608988829917</v>
      </c>
      <c r="Q74" s="31">
        <f>N74-8104.96</f>
        <v>-7669.83</v>
      </c>
      <c r="R74" s="127">
        <f>N74/8104.96</f>
        <v>0.053686878158559694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340588.74999999994</v>
      </c>
      <c r="F75" s="27">
        <f>F55+F74</f>
        <v>356557.9100000001</v>
      </c>
      <c r="G75" s="44">
        <f>F75-E75</f>
        <v>15969.160000000149</v>
      </c>
      <c r="H75" s="45">
        <f>F75/E75*100</f>
        <v>104.68869274161293</v>
      </c>
      <c r="I75" s="31">
        <f>F75-D75</f>
        <v>-190636.6899999999</v>
      </c>
      <c r="J75" s="31">
        <f>F75/D75*100</f>
        <v>65.16107980597764</v>
      </c>
      <c r="K75" s="31">
        <f>K55+K74</f>
        <v>66871.48400000001</v>
      </c>
      <c r="L75" s="31">
        <f>F75/(F75-K75)*100</f>
        <v>123.08409300475817</v>
      </c>
      <c r="M75" s="18">
        <f>M55+M74</f>
        <v>49176.06</v>
      </c>
      <c r="N75" s="18">
        <f>N55+N74</f>
        <v>30299.604999999985</v>
      </c>
      <c r="O75" s="31">
        <f>N75-M75</f>
        <v>-18876.455000000013</v>
      </c>
      <c r="P75" s="31">
        <f>N75/M75*100</f>
        <v>61.61454374343936</v>
      </c>
      <c r="Q75" s="31">
        <f>N75-42872.96</f>
        <v>-12573.355000000014</v>
      </c>
      <c r="R75" s="127">
        <f>N75/42872.96</f>
        <v>0.7067299528653955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10</v>
      </c>
      <c r="D77" s="4" t="s">
        <v>118</v>
      </c>
    </row>
    <row r="78" spans="2:17" ht="31.5">
      <c r="B78" s="71" t="s">
        <v>154</v>
      </c>
      <c r="C78" s="34">
        <f>IF(O55&lt;0,ABS(O55/C77),0)</f>
        <v>1794.7225000000012</v>
      </c>
      <c r="D78" s="4" t="s">
        <v>104</v>
      </c>
      <c r="G78" s="231"/>
      <c r="H78" s="231"/>
      <c r="I78" s="231"/>
      <c r="J78" s="23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42202</v>
      </c>
      <c r="D79" s="34">
        <v>1994.9</v>
      </c>
      <c r="N79" s="232"/>
      <c r="O79" s="232"/>
    </row>
    <row r="80" spans="3:15" ht="15.75">
      <c r="C80" s="111">
        <v>42201</v>
      </c>
      <c r="D80" s="34">
        <v>2103.7</v>
      </c>
      <c r="F80" s="155" t="s">
        <v>166</v>
      </c>
      <c r="G80" s="233"/>
      <c r="H80" s="233"/>
      <c r="I80" s="177"/>
      <c r="J80" s="234"/>
      <c r="K80" s="234"/>
      <c r="L80" s="234"/>
      <c r="M80" s="234"/>
      <c r="N80" s="232"/>
      <c r="O80" s="232"/>
    </row>
    <row r="81" spans="3:15" ht="15.75" customHeight="1">
      <c r="C81" s="111">
        <v>42200</v>
      </c>
      <c r="D81" s="34">
        <v>3703.1</v>
      </c>
      <c r="G81" s="238" t="s">
        <v>151</v>
      </c>
      <c r="H81" s="238"/>
      <c r="I81" s="106">
        <v>8909.73221</v>
      </c>
      <c r="J81" s="239"/>
      <c r="K81" s="239"/>
      <c r="L81" s="239"/>
      <c r="M81" s="239"/>
      <c r="N81" s="232"/>
      <c r="O81" s="232"/>
    </row>
    <row r="82" spans="3:13" ht="15.75" customHeight="1">
      <c r="C82" s="111"/>
      <c r="G82" s="240" t="s">
        <v>234</v>
      </c>
      <c r="H82" s="241"/>
      <c r="I82" s="103">
        <v>0</v>
      </c>
      <c r="J82" s="234"/>
      <c r="K82" s="234"/>
      <c r="L82" s="234"/>
      <c r="M82" s="234"/>
    </row>
    <row r="83" spans="2:13" ht="18.75" customHeight="1">
      <c r="B83" s="242" t="s">
        <v>160</v>
      </c>
      <c r="C83" s="243"/>
      <c r="D83" s="108">
        <v>147231.11149</v>
      </c>
      <c r="E83" s="73"/>
      <c r="F83" s="156" t="s">
        <v>147</v>
      </c>
      <c r="G83" s="238" t="s">
        <v>149</v>
      </c>
      <c r="H83" s="238"/>
      <c r="I83" s="107">
        <v>138321.37928</v>
      </c>
      <c r="J83" s="234"/>
      <c r="K83" s="234"/>
      <c r="L83" s="234"/>
      <c r="M83" s="234"/>
    </row>
    <row r="84" spans="7:12" ht="9.75" customHeight="1">
      <c r="G84" s="233"/>
      <c r="H84" s="233"/>
      <c r="I84" s="90"/>
      <c r="J84" s="91"/>
      <c r="K84" s="91"/>
      <c r="L84" s="91"/>
    </row>
    <row r="85" spans="2:12" ht="22.5" customHeight="1" hidden="1">
      <c r="B85" s="244" t="s">
        <v>167</v>
      </c>
      <c r="C85" s="245"/>
      <c r="D85" s="110">
        <v>0</v>
      </c>
      <c r="E85" s="70" t="s">
        <v>104</v>
      </c>
      <c r="G85" s="233"/>
      <c r="H85" s="233"/>
      <c r="I85" s="90"/>
      <c r="J85" s="91"/>
      <c r="K85" s="91"/>
      <c r="L85" s="91"/>
    </row>
    <row r="86" spans="4:15" ht="15.75">
      <c r="D86" s="105"/>
      <c r="N86" s="233"/>
      <c r="O86" s="233"/>
    </row>
    <row r="87" spans="4:15" ht="15.75">
      <c r="D87" s="104"/>
      <c r="I87" s="34"/>
      <c r="N87" s="246"/>
      <c r="O87" s="246"/>
    </row>
    <row r="88" spans="14:15" ht="15.75">
      <c r="N88" s="233"/>
      <c r="O88" s="23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7" bottom="0.38" header="0.17" footer="0.29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6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J79" sqref="J7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7" t="s">
        <v>280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17"/>
      <c r="R1" s="118"/>
    </row>
    <row r="2" spans="2:18" s="1" customFormat="1" ht="15.75" customHeight="1">
      <c r="B2" s="206"/>
      <c r="C2" s="206"/>
      <c r="D2" s="206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261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277</v>
      </c>
      <c r="N3" s="218" t="s">
        <v>278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279</v>
      </c>
      <c r="F4" s="248" t="s">
        <v>116</v>
      </c>
      <c r="G4" s="225" t="s">
        <v>275</v>
      </c>
      <c r="H4" s="227" t="s">
        <v>276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281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49"/>
      <c r="G5" s="226"/>
      <c r="H5" s="228"/>
      <c r="I5" s="230"/>
      <c r="J5" s="217"/>
      <c r="K5" s="221" t="s">
        <v>288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18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71820.961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189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190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190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190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190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190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189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90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91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89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191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192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19161.13100000001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192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14793.516000000007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190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F22-130.74</f>
        <v>4826.363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90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190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191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91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191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90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190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190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90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191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18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189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89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89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189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189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89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89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189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189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190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90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90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190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89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189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89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89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90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89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189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89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18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81348.411</v>
      </c>
      <c r="L55" s="31">
        <f>F55/(F55-K55)*100</f>
        <v>133.9446393386522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96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96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9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98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98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98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99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98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98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198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198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199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98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98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98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199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198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198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00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00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81886.101</v>
      </c>
      <c r="L75" s="31">
        <f>F75/(F75-K75)*100</f>
        <v>133.50876231406414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31"/>
      <c r="H78" s="231"/>
      <c r="I78" s="231"/>
      <c r="J78" s="23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32"/>
      <c r="O79" s="232"/>
    </row>
    <row r="80" spans="3:15" ht="15.75">
      <c r="C80" s="111">
        <v>42181</v>
      </c>
      <c r="D80" s="34">
        <v>8722.4</v>
      </c>
      <c r="F80" s="201" t="s">
        <v>166</v>
      </c>
      <c r="G80" s="233"/>
      <c r="H80" s="233"/>
      <c r="I80" s="177"/>
      <c r="J80" s="234"/>
      <c r="K80" s="234"/>
      <c r="L80" s="234"/>
      <c r="M80" s="234"/>
      <c r="N80" s="232"/>
      <c r="O80" s="232"/>
    </row>
    <row r="81" spans="3:15" ht="15.75" customHeight="1">
      <c r="C81" s="111">
        <v>42180</v>
      </c>
      <c r="D81" s="34">
        <v>4146.6</v>
      </c>
      <c r="G81" s="238" t="s">
        <v>151</v>
      </c>
      <c r="H81" s="238"/>
      <c r="I81" s="106">
        <v>8909.73221</v>
      </c>
      <c r="J81" s="239"/>
      <c r="K81" s="239"/>
      <c r="L81" s="239"/>
      <c r="M81" s="239"/>
      <c r="N81" s="232"/>
      <c r="O81" s="232"/>
    </row>
    <row r="82" spans="3:13" ht="15.75" customHeight="1">
      <c r="C82" s="111"/>
      <c r="G82" s="240" t="s">
        <v>234</v>
      </c>
      <c r="H82" s="241"/>
      <c r="I82" s="103">
        <v>0</v>
      </c>
      <c r="J82" s="234"/>
      <c r="K82" s="234"/>
      <c r="L82" s="234"/>
      <c r="M82" s="234"/>
    </row>
    <row r="83" spans="2:13" ht="18.75" customHeight="1">
      <c r="B83" s="242" t="s">
        <v>160</v>
      </c>
      <c r="C83" s="243"/>
      <c r="D83" s="108">
        <v>152943.93305000002</v>
      </c>
      <c r="E83" s="73"/>
      <c r="F83" s="202" t="s">
        <v>147</v>
      </c>
      <c r="G83" s="238" t="s">
        <v>149</v>
      </c>
      <c r="H83" s="238"/>
      <c r="I83" s="107">
        <v>144034.20084</v>
      </c>
      <c r="J83" s="234"/>
      <c r="K83" s="234"/>
      <c r="L83" s="234"/>
      <c r="M83" s="234"/>
    </row>
    <row r="84" spans="7:12" ht="9.75" customHeight="1">
      <c r="G84" s="233"/>
      <c r="H84" s="233"/>
      <c r="I84" s="90"/>
      <c r="J84" s="91"/>
      <c r="K84" s="91"/>
      <c r="L84" s="91"/>
    </row>
    <row r="85" spans="2:12" ht="22.5" customHeight="1" hidden="1">
      <c r="B85" s="244" t="s">
        <v>167</v>
      </c>
      <c r="C85" s="245"/>
      <c r="D85" s="110">
        <v>0</v>
      </c>
      <c r="E85" s="70" t="s">
        <v>104</v>
      </c>
      <c r="G85" s="233"/>
      <c r="H85" s="233"/>
      <c r="I85" s="90"/>
      <c r="J85" s="91"/>
      <c r="K85" s="91"/>
      <c r="L85" s="91"/>
    </row>
    <row r="86" spans="4:15" ht="15.75">
      <c r="D86" s="105"/>
      <c r="N86" s="233"/>
      <c r="O86" s="233"/>
    </row>
    <row r="87" spans="4:15" ht="15.75">
      <c r="D87" s="104"/>
      <c r="I87" s="34"/>
      <c r="N87" s="246"/>
      <c r="O87" s="246"/>
    </row>
    <row r="88" spans="14:15" ht="15.75">
      <c r="N88" s="233"/>
      <c r="O88" s="23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33" bottom="0.39" header="0.18" footer="0.29"/>
  <pageSetup fitToHeight="1" fitToWidth="1"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6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52" sqref="H5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274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261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266</v>
      </c>
      <c r="N3" s="218" t="s">
        <v>267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262</v>
      </c>
      <c r="F4" s="223" t="s">
        <v>116</v>
      </c>
      <c r="G4" s="225" t="s">
        <v>263</v>
      </c>
      <c r="H4" s="227" t="s">
        <v>264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273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265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31"/>
      <c r="H78" s="231"/>
      <c r="I78" s="231"/>
      <c r="J78" s="23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32"/>
      <c r="O79" s="232"/>
    </row>
    <row r="80" spans="3:15" ht="15.75">
      <c r="C80" s="111">
        <v>42152</v>
      </c>
      <c r="D80" s="34">
        <v>5845.4</v>
      </c>
      <c r="F80" s="155" t="s">
        <v>166</v>
      </c>
      <c r="G80" s="233"/>
      <c r="H80" s="233"/>
      <c r="I80" s="177"/>
      <c r="J80" s="234"/>
      <c r="K80" s="234"/>
      <c r="L80" s="234"/>
      <c r="M80" s="234"/>
      <c r="N80" s="232"/>
      <c r="O80" s="232"/>
    </row>
    <row r="81" spans="3:15" ht="15.75" customHeight="1">
      <c r="C81" s="111">
        <v>42151</v>
      </c>
      <c r="D81" s="34">
        <v>3158.7</v>
      </c>
      <c r="G81" s="238" t="s">
        <v>151</v>
      </c>
      <c r="H81" s="238"/>
      <c r="I81" s="106">
        <v>8909.73221</v>
      </c>
      <c r="J81" s="239"/>
      <c r="K81" s="239"/>
      <c r="L81" s="239"/>
      <c r="M81" s="239"/>
      <c r="N81" s="232"/>
      <c r="O81" s="232"/>
    </row>
    <row r="82" spans="7:13" ht="15.75" customHeight="1">
      <c r="G82" s="240" t="s">
        <v>234</v>
      </c>
      <c r="H82" s="241"/>
      <c r="I82" s="103">
        <v>0</v>
      </c>
      <c r="J82" s="234"/>
      <c r="K82" s="234"/>
      <c r="L82" s="234"/>
      <c r="M82" s="234"/>
    </row>
    <row r="83" spans="2:13" ht="18.75" customHeight="1">
      <c r="B83" s="242" t="s">
        <v>160</v>
      </c>
      <c r="C83" s="243"/>
      <c r="D83" s="108">
        <v>153606.78</v>
      </c>
      <c r="E83" s="73"/>
      <c r="F83" s="156" t="s">
        <v>147</v>
      </c>
      <c r="G83" s="238" t="s">
        <v>149</v>
      </c>
      <c r="H83" s="238"/>
      <c r="I83" s="107">
        <v>144697.05</v>
      </c>
      <c r="J83" s="234"/>
      <c r="K83" s="234"/>
      <c r="L83" s="234"/>
      <c r="M83" s="234"/>
    </row>
    <row r="84" spans="7:12" ht="9.75" customHeight="1">
      <c r="G84" s="233"/>
      <c r="H84" s="233"/>
      <c r="I84" s="90"/>
      <c r="J84" s="91"/>
      <c r="K84" s="91"/>
      <c r="L84" s="91"/>
    </row>
    <row r="85" spans="2:12" ht="22.5" customHeight="1" hidden="1">
      <c r="B85" s="244" t="s">
        <v>167</v>
      </c>
      <c r="C85" s="245"/>
      <c r="D85" s="110">
        <v>0</v>
      </c>
      <c r="E85" s="70" t="s">
        <v>104</v>
      </c>
      <c r="G85" s="233"/>
      <c r="H85" s="233"/>
      <c r="I85" s="90"/>
      <c r="J85" s="91"/>
      <c r="K85" s="91"/>
      <c r="L85" s="91"/>
    </row>
    <row r="86" spans="4:15" ht="15.75">
      <c r="D86" s="105"/>
      <c r="N86" s="233"/>
      <c r="O86" s="233"/>
    </row>
    <row r="87" spans="4:15" ht="15.75">
      <c r="D87" s="104"/>
      <c r="I87" s="34"/>
      <c r="N87" s="246"/>
      <c r="O87" s="246"/>
    </row>
    <row r="88" spans="14:15" ht="15.75">
      <c r="N88" s="233"/>
      <c r="O88" s="23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D4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259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261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240</v>
      </c>
      <c r="N3" s="218" t="s">
        <v>241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237</v>
      </c>
      <c r="F4" s="248" t="s">
        <v>116</v>
      </c>
      <c r="G4" s="225" t="s">
        <v>238</v>
      </c>
      <c r="H4" s="227" t="s">
        <v>239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260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49"/>
      <c r="G5" s="226"/>
      <c r="H5" s="228"/>
      <c r="I5" s="230"/>
      <c r="J5" s="217"/>
      <c r="K5" s="221" t="s">
        <v>242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31"/>
      <c r="H103" s="231"/>
      <c r="I103" s="231"/>
      <c r="J103" s="231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32"/>
      <c r="O104" s="232"/>
    </row>
    <row r="105" spans="3:15" ht="15.75">
      <c r="C105" s="111">
        <v>42123</v>
      </c>
      <c r="D105" s="34">
        <v>7959.6</v>
      </c>
      <c r="F105" s="201" t="s">
        <v>166</v>
      </c>
      <c r="G105" s="233"/>
      <c r="H105" s="233"/>
      <c r="I105" s="177"/>
      <c r="J105" s="234"/>
      <c r="K105" s="234"/>
      <c r="L105" s="234"/>
      <c r="M105" s="234"/>
      <c r="N105" s="232"/>
      <c r="O105" s="232"/>
    </row>
    <row r="106" spans="3:15" ht="15.75" customHeight="1">
      <c r="C106" s="111">
        <v>42122</v>
      </c>
      <c r="D106" s="34">
        <v>4962.7</v>
      </c>
      <c r="G106" s="238" t="s">
        <v>151</v>
      </c>
      <c r="H106" s="238"/>
      <c r="I106" s="106">
        <v>8909.73221</v>
      </c>
      <c r="J106" s="239"/>
      <c r="K106" s="239"/>
      <c r="L106" s="239"/>
      <c r="M106" s="239"/>
      <c r="N106" s="232"/>
      <c r="O106" s="232"/>
    </row>
    <row r="107" spans="7:13" ht="15.75" customHeight="1">
      <c r="G107" s="240" t="s">
        <v>234</v>
      </c>
      <c r="H107" s="241"/>
      <c r="I107" s="103">
        <v>0</v>
      </c>
      <c r="J107" s="234"/>
      <c r="K107" s="234"/>
      <c r="L107" s="234"/>
      <c r="M107" s="234"/>
    </row>
    <row r="108" spans="2:13" ht="18.75" customHeight="1">
      <c r="B108" s="242" t="s">
        <v>160</v>
      </c>
      <c r="C108" s="243"/>
      <c r="D108" s="108">
        <v>154856.06924</v>
      </c>
      <c r="E108" s="73"/>
      <c r="F108" s="202" t="s">
        <v>147</v>
      </c>
      <c r="G108" s="238" t="s">
        <v>149</v>
      </c>
      <c r="H108" s="238"/>
      <c r="I108" s="107">
        <v>145946.33703</v>
      </c>
      <c r="J108" s="234"/>
      <c r="K108" s="234"/>
      <c r="L108" s="234"/>
      <c r="M108" s="234"/>
    </row>
    <row r="109" spans="7:12" ht="9.75" customHeight="1">
      <c r="G109" s="233"/>
      <c r="H109" s="233"/>
      <c r="I109" s="90"/>
      <c r="J109" s="91"/>
      <c r="K109" s="91"/>
      <c r="L109" s="91"/>
    </row>
    <row r="110" spans="2:12" ht="22.5" customHeight="1" hidden="1">
      <c r="B110" s="244" t="s">
        <v>167</v>
      </c>
      <c r="C110" s="245"/>
      <c r="D110" s="110">
        <v>0</v>
      </c>
      <c r="E110" s="70" t="s">
        <v>104</v>
      </c>
      <c r="G110" s="233"/>
      <c r="H110" s="233"/>
      <c r="I110" s="90"/>
      <c r="J110" s="91"/>
      <c r="K110" s="91"/>
      <c r="L110" s="91"/>
    </row>
    <row r="111" spans="4:15" ht="15.75">
      <c r="D111" s="105"/>
      <c r="N111" s="233"/>
      <c r="O111" s="233"/>
    </row>
    <row r="112" spans="4:15" ht="15.75">
      <c r="D112" s="104"/>
      <c r="I112" s="34"/>
      <c r="N112" s="246"/>
      <c r="O112" s="246"/>
    </row>
    <row r="113" spans="14:15" ht="15.75">
      <c r="N113" s="233"/>
      <c r="O113" s="233"/>
    </row>
    <row r="117" ht="15.75">
      <c r="E117" s="4" t="s">
        <v>166</v>
      </c>
    </row>
  </sheetData>
  <mergeCells count="39">
    <mergeCell ref="N113:O113"/>
    <mergeCell ref="B110:C110"/>
    <mergeCell ref="G110:H110"/>
    <mergeCell ref="N111:O111"/>
    <mergeCell ref="N112:O112"/>
    <mergeCell ref="B108:C108"/>
    <mergeCell ref="G108:H108"/>
    <mergeCell ref="J108:M108"/>
    <mergeCell ref="G109:H109"/>
    <mergeCell ref="G106:H106"/>
    <mergeCell ref="J106:M106"/>
    <mergeCell ref="N106:O106"/>
    <mergeCell ref="G107:H107"/>
    <mergeCell ref="J107:M107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235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216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231</v>
      </c>
      <c r="N3" s="218" t="s">
        <v>232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228</v>
      </c>
      <c r="F4" s="223" t="s">
        <v>116</v>
      </c>
      <c r="G4" s="225" t="s">
        <v>229</v>
      </c>
      <c r="H4" s="227" t="s">
        <v>230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236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233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31"/>
      <c r="H104" s="231"/>
      <c r="I104" s="231"/>
      <c r="J104" s="23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32"/>
      <c r="O105" s="232"/>
    </row>
    <row r="106" spans="3:15" ht="15.75">
      <c r="C106" s="111">
        <v>42093</v>
      </c>
      <c r="D106" s="34">
        <v>8025</v>
      </c>
      <c r="F106" s="155" t="s">
        <v>166</v>
      </c>
      <c r="G106" s="233"/>
      <c r="H106" s="233"/>
      <c r="I106" s="177"/>
      <c r="J106" s="234"/>
      <c r="K106" s="234"/>
      <c r="L106" s="234"/>
      <c r="M106" s="234"/>
      <c r="N106" s="232"/>
      <c r="O106" s="232"/>
    </row>
    <row r="107" spans="3:15" ht="15.75" customHeight="1">
      <c r="C107" s="111">
        <v>42090</v>
      </c>
      <c r="D107" s="34">
        <v>4282.6</v>
      </c>
      <c r="G107" s="238" t="s">
        <v>151</v>
      </c>
      <c r="H107" s="238"/>
      <c r="I107" s="106">
        <f>8909732.21/1000</f>
        <v>8909.73221</v>
      </c>
      <c r="J107" s="239"/>
      <c r="K107" s="239"/>
      <c r="L107" s="239"/>
      <c r="M107" s="239"/>
      <c r="N107" s="232"/>
      <c r="O107" s="232"/>
    </row>
    <row r="108" spans="7:13" ht="15.75" customHeight="1">
      <c r="G108" s="240" t="s">
        <v>234</v>
      </c>
      <c r="H108" s="241"/>
      <c r="I108" s="103">
        <v>0</v>
      </c>
      <c r="J108" s="234"/>
      <c r="K108" s="234"/>
      <c r="L108" s="234"/>
      <c r="M108" s="234"/>
    </row>
    <row r="109" spans="2:13" ht="18.75" customHeight="1">
      <c r="B109" s="242" t="s">
        <v>160</v>
      </c>
      <c r="C109" s="243"/>
      <c r="D109" s="108">
        <f>147433239.77/1000</f>
        <v>147433.23977000001</v>
      </c>
      <c r="E109" s="73"/>
      <c r="F109" s="156" t="s">
        <v>147</v>
      </c>
      <c r="G109" s="238" t="s">
        <v>149</v>
      </c>
      <c r="H109" s="238"/>
      <c r="I109" s="107">
        <f>138523507.56/1000</f>
        <v>138523.50756</v>
      </c>
      <c r="J109" s="234"/>
      <c r="K109" s="234"/>
      <c r="L109" s="234"/>
      <c r="M109" s="234"/>
    </row>
    <row r="110" spans="7:12" ht="9.75" customHeight="1">
      <c r="G110" s="233"/>
      <c r="H110" s="233"/>
      <c r="I110" s="90"/>
      <c r="J110" s="91"/>
      <c r="K110" s="91"/>
      <c r="L110" s="91"/>
    </row>
    <row r="111" spans="2:12" ht="22.5" customHeight="1" hidden="1">
      <c r="B111" s="244" t="s">
        <v>167</v>
      </c>
      <c r="C111" s="245"/>
      <c r="D111" s="110">
        <v>0</v>
      </c>
      <c r="E111" s="70" t="s">
        <v>104</v>
      </c>
      <c r="G111" s="233"/>
      <c r="H111" s="233"/>
      <c r="I111" s="90"/>
      <c r="J111" s="91"/>
      <c r="K111" s="91"/>
      <c r="L111" s="91"/>
    </row>
    <row r="112" spans="4:15" ht="15.75">
      <c r="D112" s="105"/>
      <c r="N112" s="233"/>
      <c r="O112" s="233"/>
    </row>
    <row r="113" spans="4:15" ht="15.75">
      <c r="D113" s="104"/>
      <c r="I113" s="34"/>
      <c r="N113" s="246"/>
      <c r="O113" s="246"/>
    </row>
    <row r="114" spans="14:15" ht="15.75">
      <c r="N114" s="233"/>
      <c r="O114" s="23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227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 t="s">
        <v>205</v>
      </c>
      <c r="C3" s="210" t="s">
        <v>0</v>
      </c>
      <c r="D3" s="211" t="s">
        <v>216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221</v>
      </c>
      <c r="N3" s="218" t="s">
        <v>202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199</v>
      </c>
      <c r="F4" s="223" t="s">
        <v>116</v>
      </c>
      <c r="G4" s="225" t="s">
        <v>200</v>
      </c>
      <c r="H4" s="227" t="s">
        <v>201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226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224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31"/>
      <c r="H104" s="231"/>
      <c r="I104" s="231"/>
      <c r="J104" s="23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32"/>
      <c r="O105" s="232"/>
    </row>
    <row r="106" spans="3:15" ht="15.75">
      <c r="C106" s="111">
        <v>42061</v>
      </c>
      <c r="D106" s="34">
        <v>6003.3</v>
      </c>
      <c r="F106" s="155" t="s">
        <v>166</v>
      </c>
      <c r="G106" s="233"/>
      <c r="H106" s="233"/>
      <c r="I106" s="177"/>
      <c r="J106" s="234"/>
      <c r="K106" s="234"/>
      <c r="L106" s="234"/>
      <c r="M106" s="234"/>
      <c r="N106" s="232"/>
      <c r="O106" s="232"/>
    </row>
    <row r="107" spans="3:15" ht="15.75" customHeight="1">
      <c r="C107" s="111">
        <v>42060</v>
      </c>
      <c r="D107" s="34">
        <v>1551.3</v>
      </c>
      <c r="G107" s="238" t="s">
        <v>151</v>
      </c>
      <c r="H107" s="238"/>
      <c r="I107" s="106">
        <v>8909.73221</v>
      </c>
      <c r="J107" s="239"/>
      <c r="K107" s="239"/>
      <c r="L107" s="239"/>
      <c r="M107" s="239"/>
      <c r="N107" s="232"/>
      <c r="O107" s="232"/>
    </row>
    <row r="108" spans="7:13" ht="15.75" customHeight="1">
      <c r="G108" s="250" t="s">
        <v>155</v>
      </c>
      <c r="H108" s="250"/>
      <c r="I108" s="103">
        <v>0</v>
      </c>
      <c r="J108" s="234"/>
      <c r="K108" s="234"/>
      <c r="L108" s="234"/>
      <c r="M108" s="234"/>
    </row>
    <row r="109" spans="2:13" ht="18.75" customHeight="1">
      <c r="B109" s="242" t="s">
        <v>160</v>
      </c>
      <c r="C109" s="243"/>
      <c r="D109" s="108">
        <f>138305956.27/1000</f>
        <v>138305.95627000002</v>
      </c>
      <c r="E109" s="73"/>
      <c r="F109" s="156" t="s">
        <v>147</v>
      </c>
      <c r="G109" s="238" t="s">
        <v>149</v>
      </c>
      <c r="H109" s="238"/>
      <c r="I109" s="107">
        <v>129396.23</v>
      </c>
      <c r="J109" s="234"/>
      <c r="K109" s="234"/>
      <c r="L109" s="234"/>
      <c r="M109" s="234"/>
    </row>
    <row r="110" spans="7:12" ht="9.75" customHeight="1">
      <c r="G110" s="233"/>
      <c r="H110" s="233"/>
      <c r="I110" s="90"/>
      <c r="J110" s="91"/>
      <c r="K110" s="91"/>
      <c r="L110" s="91"/>
    </row>
    <row r="111" spans="2:12" ht="22.5" customHeight="1" hidden="1">
      <c r="B111" s="244" t="s">
        <v>167</v>
      </c>
      <c r="C111" s="245"/>
      <c r="D111" s="110">
        <v>0</v>
      </c>
      <c r="E111" s="70" t="s">
        <v>104</v>
      </c>
      <c r="G111" s="233"/>
      <c r="H111" s="233"/>
      <c r="I111" s="90"/>
      <c r="J111" s="91"/>
      <c r="K111" s="91"/>
      <c r="L111" s="91"/>
    </row>
    <row r="112" spans="4:15" ht="15.75">
      <c r="D112" s="105"/>
      <c r="N112" s="233"/>
      <c r="O112" s="233"/>
    </row>
    <row r="113" spans="4:15" ht="15.75">
      <c r="D113" s="104"/>
      <c r="I113" s="34"/>
      <c r="N113" s="246"/>
      <c r="O113" s="246"/>
    </row>
    <row r="114" spans="14:15" ht="15.75">
      <c r="N114" s="233"/>
      <c r="O114" s="23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193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 t="s">
        <v>205</v>
      </c>
      <c r="C3" s="210" t="s">
        <v>0</v>
      </c>
      <c r="D3" s="211" t="s">
        <v>216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220</v>
      </c>
      <c r="N3" s="218" t="s">
        <v>175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219</v>
      </c>
      <c r="F4" s="223" t="s">
        <v>116</v>
      </c>
      <c r="G4" s="225" t="s">
        <v>173</v>
      </c>
      <c r="H4" s="257" t="s">
        <v>174</v>
      </c>
      <c r="I4" s="255" t="s">
        <v>217</v>
      </c>
      <c r="J4" s="253" t="s">
        <v>218</v>
      </c>
      <c r="K4" s="116" t="s">
        <v>172</v>
      </c>
      <c r="L4" s="121" t="s">
        <v>171</v>
      </c>
      <c r="M4" s="216"/>
      <c r="N4" s="235" t="s">
        <v>194</v>
      </c>
      <c r="O4" s="255" t="s">
        <v>136</v>
      </c>
      <c r="P4" s="218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58"/>
      <c r="I5" s="256"/>
      <c r="J5" s="254"/>
      <c r="K5" s="221" t="s">
        <v>188</v>
      </c>
      <c r="L5" s="222"/>
      <c r="M5" s="217"/>
      <c r="N5" s="236"/>
      <c r="O5" s="256"/>
      <c r="P5" s="218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31"/>
      <c r="H102" s="231"/>
      <c r="I102" s="231"/>
      <c r="J102" s="231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32"/>
      <c r="O103" s="232"/>
    </row>
    <row r="104" spans="3:15" ht="15.75">
      <c r="C104" s="111">
        <v>42033</v>
      </c>
      <c r="D104" s="34">
        <v>2896.5</v>
      </c>
      <c r="F104" s="155" t="s">
        <v>166</v>
      </c>
      <c r="G104" s="238" t="s">
        <v>151</v>
      </c>
      <c r="H104" s="238"/>
      <c r="I104" s="106">
        <f>'січень '!I139</f>
        <v>8909.733</v>
      </c>
      <c r="J104" s="251" t="s">
        <v>161</v>
      </c>
      <c r="K104" s="251"/>
      <c r="L104" s="251"/>
      <c r="M104" s="251"/>
      <c r="N104" s="232"/>
      <c r="O104" s="232"/>
    </row>
    <row r="105" spans="3:15" ht="15.75">
      <c r="C105" s="111">
        <v>42032</v>
      </c>
      <c r="D105" s="34">
        <v>2838.1</v>
      </c>
      <c r="G105" s="250" t="s">
        <v>155</v>
      </c>
      <c r="H105" s="250"/>
      <c r="I105" s="103">
        <f>'січень '!I140</f>
        <v>0</v>
      </c>
      <c r="J105" s="252" t="s">
        <v>162</v>
      </c>
      <c r="K105" s="252"/>
      <c r="L105" s="252"/>
      <c r="M105" s="252"/>
      <c r="N105" s="232"/>
      <c r="O105" s="232"/>
    </row>
    <row r="106" spans="7:13" ht="15.75" customHeight="1">
      <c r="G106" s="238" t="s">
        <v>148</v>
      </c>
      <c r="H106" s="238"/>
      <c r="I106" s="103">
        <f>'січень '!I141</f>
        <v>0</v>
      </c>
      <c r="J106" s="251" t="s">
        <v>163</v>
      </c>
      <c r="K106" s="251"/>
      <c r="L106" s="251"/>
      <c r="M106" s="251"/>
    </row>
    <row r="107" spans="2:13" ht="18.75" customHeight="1">
      <c r="B107" s="242" t="s">
        <v>160</v>
      </c>
      <c r="C107" s="243"/>
      <c r="D107" s="108">
        <f>'січень '!D142</f>
        <v>132375.63</v>
      </c>
      <c r="E107" s="73"/>
      <c r="F107" s="156" t="s">
        <v>147</v>
      </c>
      <c r="G107" s="238" t="s">
        <v>149</v>
      </c>
      <c r="H107" s="238"/>
      <c r="I107" s="107">
        <f>'січень '!I142</f>
        <v>123465.893</v>
      </c>
      <c r="J107" s="251" t="s">
        <v>164</v>
      </c>
      <c r="K107" s="251"/>
      <c r="L107" s="251"/>
      <c r="M107" s="251"/>
    </row>
    <row r="108" spans="7:12" ht="9.75" customHeight="1">
      <c r="G108" s="233"/>
      <c r="H108" s="233"/>
      <c r="I108" s="90"/>
      <c r="J108" s="91"/>
      <c r="K108" s="91"/>
      <c r="L108" s="91"/>
    </row>
    <row r="109" spans="2:12" ht="22.5" customHeight="1" hidden="1">
      <c r="B109" s="244" t="s">
        <v>167</v>
      </c>
      <c r="C109" s="245"/>
      <c r="D109" s="110">
        <v>0</v>
      </c>
      <c r="E109" s="70" t="s">
        <v>104</v>
      </c>
      <c r="G109" s="233"/>
      <c r="H109" s="233"/>
      <c r="I109" s="90"/>
      <c r="J109" s="91"/>
      <c r="K109" s="91"/>
      <c r="L109" s="91"/>
    </row>
    <row r="110" spans="4:15" ht="15.75">
      <c r="D110" s="105"/>
      <c r="N110" s="233"/>
      <c r="O110" s="233"/>
    </row>
    <row r="111" spans="4:15" ht="15.75">
      <c r="D111" s="104"/>
      <c r="I111" s="34"/>
      <c r="N111" s="246"/>
      <c r="O111" s="246"/>
    </row>
    <row r="112" spans="14:15" ht="15.75">
      <c r="N112" s="233"/>
      <c r="O112" s="23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1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05" t="s">
        <v>193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 t="s">
        <v>203</v>
      </c>
      <c r="C3" s="210" t="s">
        <v>0</v>
      </c>
      <c r="D3" s="211" t="s">
        <v>190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187</v>
      </c>
      <c r="N3" s="218" t="s">
        <v>175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153</v>
      </c>
      <c r="F4" s="223" t="s">
        <v>116</v>
      </c>
      <c r="G4" s="225" t="s">
        <v>173</v>
      </c>
      <c r="H4" s="257" t="s">
        <v>174</v>
      </c>
      <c r="I4" s="255" t="s">
        <v>186</v>
      </c>
      <c r="J4" s="253" t="s">
        <v>189</v>
      </c>
      <c r="K4" s="116" t="s">
        <v>172</v>
      </c>
      <c r="L4" s="121" t="s">
        <v>171</v>
      </c>
      <c r="M4" s="216"/>
      <c r="N4" s="235" t="s">
        <v>194</v>
      </c>
      <c r="O4" s="255" t="s">
        <v>136</v>
      </c>
      <c r="P4" s="218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58"/>
      <c r="I5" s="256"/>
      <c r="J5" s="254"/>
      <c r="K5" s="221" t="s">
        <v>188</v>
      </c>
      <c r="L5" s="222"/>
      <c r="M5" s="217"/>
      <c r="N5" s="236"/>
      <c r="O5" s="256"/>
      <c r="P5" s="218"/>
      <c r="Q5" s="221" t="s">
        <v>176</v>
      </c>
      <c r="R5" s="222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31"/>
      <c r="H137" s="231"/>
      <c r="I137" s="231"/>
      <c r="J137" s="231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32"/>
      <c r="O138" s="232"/>
    </row>
    <row r="139" spans="3:15" ht="15.75">
      <c r="C139" s="111">
        <v>42033</v>
      </c>
      <c r="D139" s="34">
        <v>2896.5</v>
      </c>
      <c r="F139" s="155" t="s">
        <v>166</v>
      </c>
      <c r="G139" s="238" t="s">
        <v>151</v>
      </c>
      <c r="H139" s="238"/>
      <c r="I139" s="106">
        <f>8909.733</f>
        <v>8909.733</v>
      </c>
      <c r="J139" s="251" t="s">
        <v>161</v>
      </c>
      <c r="K139" s="251"/>
      <c r="L139" s="251"/>
      <c r="M139" s="251"/>
      <c r="N139" s="232"/>
      <c r="O139" s="232"/>
    </row>
    <row r="140" spans="3:15" ht="15.75">
      <c r="C140" s="111">
        <v>42032</v>
      </c>
      <c r="D140" s="34">
        <v>2838.1</v>
      </c>
      <c r="G140" s="250" t="s">
        <v>155</v>
      </c>
      <c r="H140" s="250"/>
      <c r="I140" s="103">
        <v>0</v>
      </c>
      <c r="J140" s="252" t="s">
        <v>162</v>
      </c>
      <c r="K140" s="252"/>
      <c r="L140" s="252"/>
      <c r="M140" s="252"/>
      <c r="N140" s="232"/>
      <c r="O140" s="232"/>
    </row>
    <row r="141" spans="7:13" ht="15.75" customHeight="1">
      <c r="G141" s="238" t="s">
        <v>148</v>
      </c>
      <c r="H141" s="238"/>
      <c r="I141" s="103">
        <v>0</v>
      </c>
      <c r="J141" s="251" t="s">
        <v>163</v>
      </c>
      <c r="K141" s="251"/>
      <c r="L141" s="251"/>
      <c r="M141" s="251"/>
    </row>
    <row r="142" spans="2:13" ht="18.75" customHeight="1">
      <c r="B142" s="242" t="s">
        <v>160</v>
      </c>
      <c r="C142" s="243"/>
      <c r="D142" s="108">
        <f>132375.63</f>
        <v>132375.63</v>
      </c>
      <c r="E142" s="73"/>
      <c r="F142" s="156" t="s">
        <v>147</v>
      </c>
      <c r="G142" s="238" t="s">
        <v>149</v>
      </c>
      <c r="H142" s="238"/>
      <c r="I142" s="107">
        <f>123465.893</f>
        <v>123465.893</v>
      </c>
      <c r="J142" s="251" t="s">
        <v>164</v>
      </c>
      <c r="K142" s="251"/>
      <c r="L142" s="251"/>
      <c r="M142" s="251"/>
    </row>
    <row r="143" spans="7:12" ht="9.75" customHeight="1">
      <c r="G143" s="233"/>
      <c r="H143" s="233"/>
      <c r="I143" s="90"/>
      <c r="J143" s="91"/>
      <c r="K143" s="91"/>
      <c r="L143" s="91"/>
    </row>
    <row r="144" spans="2:12" ht="22.5" customHeight="1" hidden="1">
      <c r="B144" s="244" t="s">
        <v>167</v>
      </c>
      <c r="C144" s="245"/>
      <c r="D144" s="110">
        <v>0</v>
      </c>
      <c r="E144" s="70" t="s">
        <v>104</v>
      </c>
      <c r="G144" s="233"/>
      <c r="H144" s="233"/>
      <c r="I144" s="90"/>
      <c r="J144" s="91"/>
      <c r="K144" s="91"/>
      <c r="L144" s="91"/>
    </row>
    <row r="145" spans="4:15" ht="15.75">
      <c r="D145" s="105"/>
      <c r="N145" s="233"/>
      <c r="O145" s="233"/>
    </row>
    <row r="146" spans="4:15" ht="15.75">
      <c r="D146" s="104"/>
      <c r="I146" s="34"/>
      <c r="N146" s="246"/>
      <c r="O146" s="246"/>
    </row>
    <row r="147" spans="14:15" ht="15.75">
      <c r="N147" s="233"/>
      <c r="O147" s="233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2015-07-20T14:02:11Z</cp:lastPrinted>
  <dcterms:created xsi:type="dcterms:W3CDTF">2003-07-28T11:27:56Z</dcterms:created>
  <dcterms:modified xsi:type="dcterms:W3CDTF">2015-07-20T14:03:28Z</dcterms:modified>
  <cp:category/>
  <cp:version/>
  <cp:contentType/>
  <cp:contentStatus/>
</cp:coreProperties>
</file>